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600" windowWidth="27660" windowHeight="11952"/>
  </bookViews>
  <sheets>
    <sheet name="Resource estimate" sheetId="7" r:id="rId1"/>
    <sheet name="Project economics" sheetId="4" r:id="rId2"/>
  </sheets>
  <calcPr calcId="145621"/>
</workbook>
</file>

<file path=xl/calcChain.xml><?xml version="1.0" encoding="utf-8"?>
<calcChain xmlns="http://schemas.openxmlformats.org/spreadsheetml/2006/main">
  <c r="N35" i="7" l="1"/>
  <c r="O35" i="7" s="1"/>
  <c r="P35" i="7" s="1"/>
  <c r="M35" i="7"/>
  <c r="L35" i="7"/>
  <c r="O7" i="7" l="1"/>
  <c r="N7" i="7"/>
  <c r="P7" i="7"/>
  <c r="B16" i="4" l="1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O6" i="7" l="1"/>
  <c r="R6" i="7" s="1"/>
  <c r="O5" i="7"/>
  <c r="R5" i="7" s="1"/>
  <c r="O4" i="7"/>
  <c r="R4" i="7" s="1"/>
  <c r="N6" i="7"/>
  <c r="Q6" i="7" s="1"/>
  <c r="N5" i="7"/>
  <c r="Q5" i="7" s="1"/>
  <c r="N4" i="7"/>
  <c r="Q4" i="7" s="1"/>
  <c r="M6" i="7"/>
  <c r="M5" i="7"/>
  <c r="M4" i="7"/>
  <c r="C19" i="7"/>
  <c r="N21" i="4"/>
  <c r="O21" i="4" s="1"/>
  <c r="P21" i="4" s="1"/>
  <c r="N20" i="4"/>
  <c r="O20" i="4" s="1"/>
  <c r="P20" i="4" s="1"/>
  <c r="N19" i="4"/>
  <c r="O19" i="4" s="1"/>
  <c r="P19" i="4" s="1"/>
  <c r="N18" i="4"/>
  <c r="O18" i="4" s="1"/>
  <c r="P18" i="4" s="1"/>
  <c r="B13" i="4"/>
  <c r="L11" i="4"/>
  <c r="L13" i="4" s="1"/>
  <c r="I5" i="4" s="1"/>
  <c r="L7" i="4"/>
  <c r="I4" i="4"/>
  <c r="R7" i="7" l="1"/>
  <c r="Q7" i="7"/>
  <c r="B4" i="4" s="1"/>
  <c r="S6" i="7"/>
  <c r="T6" i="7" s="1"/>
  <c r="S5" i="7"/>
  <c r="T5" i="7" s="1"/>
  <c r="S4" i="7"/>
  <c r="T4" i="7" s="1"/>
  <c r="P22" i="4"/>
  <c r="I6" i="4" s="1"/>
  <c r="K25" i="4" l="1"/>
  <c r="I7" i="4" s="1"/>
  <c r="T7" i="7"/>
  <c r="M7" i="7" s="1"/>
  <c r="B8" i="4" s="1"/>
  <c r="B17" i="4" s="1"/>
  <c r="H12" i="4"/>
  <c r="B18" i="4" l="1"/>
  <c r="K32" i="4" s="1"/>
  <c r="F4" i="4" l="1"/>
  <c r="K29" i="4"/>
  <c r="K35" i="4" s="1"/>
  <c r="F5" i="4" s="1"/>
  <c r="F6" i="4" l="1"/>
  <c r="I8" i="4"/>
  <c r="I9" i="4" s="1"/>
</calcChain>
</file>

<file path=xl/sharedStrings.xml><?xml version="1.0" encoding="utf-8"?>
<sst xmlns="http://schemas.openxmlformats.org/spreadsheetml/2006/main" count="149" uniqueCount="106">
  <si>
    <t>Site</t>
  </si>
  <si>
    <t>Depth (m)</t>
  </si>
  <si>
    <t>Overburden (m)</t>
  </si>
  <si>
    <t>Volume (m3)</t>
  </si>
  <si>
    <t>Grade (mg Au/m3)</t>
  </si>
  <si>
    <t>Not stated</t>
  </si>
  <si>
    <t>Detailed Costs</t>
  </si>
  <si>
    <t>Total gold-bearing gravel resource</t>
  </si>
  <si>
    <t>Total annual profit/loss</t>
  </si>
  <si>
    <t>Total annual costs</t>
  </si>
  <si>
    <t>Wages</t>
  </si>
  <si>
    <t>employees</t>
  </si>
  <si>
    <t>m3</t>
  </si>
  <si>
    <t>Total Income</t>
  </si>
  <si>
    <t>hourly rate</t>
  </si>
  <si>
    <t>Total Costs</t>
  </si>
  <si>
    <t>Equipment</t>
  </si>
  <si>
    <t>hours per week</t>
  </si>
  <si>
    <t>Profit/loss</t>
  </si>
  <si>
    <t>Fuel</t>
  </si>
  <si>
    <t>weeks per year</t>
  </si>
  <si>
    <t>mg/m3</t>
  </si>
  <si>
    <t>Maintenance</t>
  </si>
  <si>
    <t>total wages per year (gross)</t>
  </si>
  <si>
    <t>Adminstration</t>
  </si>
  <si>
    <t>Annual production</t>
  </si>
  <si>
    <t>Equipment hire* - 30 tonne digger</t>
  </si>
  <si>
    <t>Production</t>
  </si>
  <si>
    <t>Units</t>
  </si>
  <si>
    <t>Time needed to deplete resource</t>
  </si>
  <si>
    <t>wash processed per day</t>
  </si>
  <si>
    <t>years*</t>
  </si>
  <si>
    <t>Lease rate$/hour</t>
  </si>
  <si>
    <t>Wash thickness (m)</t>
  </si>
  <si>
    <t>Bottom contact</t>
  </si>
  <si>
    <t>Comment</t>
  </si>
  <si>
    <t>Weighing zone</t>
  </si>
  <si>
    <t>wash processed per week</t>
  </si>
  <si>
    <t>*assumes mining commences after 12 months</t>
  </si>
  <si>
    <t>Mudstone</t>
  </si>
  <si>
    <t>Issues with pit collapse and infiltration</t>
  </si>
  <si>
    <t>Zone 1</t>
  </si>
  <si>
    <t>annual cost (for 42 weeks production only)</t>
  </si>
  <si>
    <t>weeks</t>
  </si>
  <si>
    <t>weeks production per year</t>
  </si>
  <si>
    <t>*All other equipment is owned by applicant</t>
  </si>
  <si>
    <t>annual production of gold-bearing gravels processed</t>
  </si>
  <si>
    <t>Break-even gold price</t>
  </si>
  <si>
    <t>troy oz</t>
  </si>
  <si>
    <t>annual gold production</t>
  </si>
  <si>
    <t>NZD</t>
  </si>
  <si>
    <t>Zone 2</t>
  </si>
  <si>
    <t>Gross annual gold income</t>
  </si>
  <si>
    <t>Fuel/diesel</t>
  </si>
  <si>
    <t>L/hour</t>
  </si>
  <si>
    <t>L/week</t>
  </si>
  <si>
    <t>$/week</t>
  </si>
  <si>
    <t>Cost per 48 weeks year</t>
  </si>
  <si>
    <t>*assumes plant is working 8 hours a day, 5 days a week, 42 weeks per year, and mining commences within 12 months of permit grant</t>
  </si>
  <si>
    <t>20T digger</t>
  </si>
  <si>
    <t>Excluded from resource estimate</t>
  </si>
  <si>
    <t>30T digger</t>
  </si>
  <si>
    <t>Unit costs and conversion factors</t>
  </si>
  <si>
    <t>Pumps</t>
  </si>
  <si>
    <t>Zone 3</t>
  </si>
  <si>
    <t>convert mg to troy oz</t>
  </si>
  <si>
    <t>Screen</t>
  </si>
  <si>
    <t>NZD per troy oz Au</t>
  </si>
  <si>
    <t>Total</t>
  </si>
  <si>
    <t>Bulk sample</t>
  </si>
  <si>
    <t>Diesel price per Litre</t>
  </si>
  <si>
    <t>Maintenance contingency</t>
  </si>
  <si>
    <t>(15% of equipment hire and run cost)</t>
  </si>
  <si>
    <t>Adminstration costs</t>
  </si>
  <si>
    <t>NZP&amp;M permit fees (annual)</t>
  </si>
  <si>
    <t>Council site visit (annual)</t>
  </si>
  <si>
    <t>Resource consents</t>
  </si>
  <si>
    <t>Land owner 'royalty' (10% of gross gold income)</t>
  </si>
  <si>
    <t>Insurance (yearly)</t>
  </si>
  <si>
    <t>Health and Safety</t>
  </si>
  <si>
    <t>Base of wash not reached</t>
  </si>
  <si>
    <t>Excluded from resource estimate as base not sampled</t>
  </si>
  <si>
    <t>overburden moved per week</t>
  </si>
  <si>
    <t>Weighted average grade (mg/m3)</t>
  </si>
  <si>
    <t>Average wash thickness (m)</t>
  </si>
  <si>
    <t>Average overburden thickness (m)</t>
  </si>
  <si>
    <t>Resource block land area (m2)</t>
  </si>
  <si>
    <t>Resource block volume (m3)</t>
  </si>
  <si>
    <t>Gold resource (troy oz)</t>
  </si>
  <si>
    <t>Gold resource (mg)</t>
  </si>
  <si>
    <t>Conversion factor mg:troy oz</t>
  </si>
  <si>
    <t>NZP&amp;M royalty (rough estimate based on 1% of gold income)</t>
  </si>
  <si>
    <r>
      <t xml:space="preserve">Global gold grade </t>
    </r>
    <r>
      <rPr>
        <b/>
        <sz val="8"/>
        <rFont val="Arial"/>
        <family val="2"/>
      </rPr>
      <t>(weighted average)</t>
    </r>
  </si>
  <si>
    <t>Overburden volume (m3)</t>
  </si>
  <si>
    <t>Resource estimate - Terrace Resource Block, Upshot Creek</t>
  </si>
  <si>
    <t>N/A</t>
  </si>
  <si>
    <t>Global resource</t>
  </si>
  <si>
    <t xml:space="preserve">Project economics </t>
  </si>
  <si>
    <t>Sample sites from Cash Cow Limited, 1992 (as reported in MR7777)</t>
  </si>
  <si>
    <t>Resource estimate - weighted</t>
  </si>
  <si>
    <t>Resource estimate - (non-weighted - i.e. based on arithmetic means)</t>
  </si>
  <si>
    <t>Ave. wash thickness (m)</t>
  </si>
  <si>
    <t>Ave. grade (mg/m3)</t>
  </si>
  <si>
    <t>Volume of wash (m3)</t>
  </si>
  <si>
    <t>Gold resource (troy oz.)</t>
  </si>
  <si>
    <t>∆ (Weighted minus non-weighted)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</si>
</sst>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"/>
    <numFmt numFmtId="165" formatCode="&quot;$&quot;#,##0"/>
    <numFmt numFmtId="166" formatCode="&quot;$&quot;#,##0.00"/>
    <numFmt numFmtId="167" formatCode="0.0"/>
    <numFmt numFmtId="168" formatCode="_-* #,##0_-;\-* #,##0_-;_-* &quot;-&quot;??_-;_-@_-"/>
    <numFmt numFmtId="169" formatCode="0.0000"/>
  </numFmts>
  <fonts count="21">
    <font>
      <sz val="11"/>
      <color rgb="FF000000"/>
      <name val="Arial"/>
    </font>
    <font>
      <b/>
      <sz val="14"/>
      <name val="Arial"/>
    </font>
    <font>
      <b/>
      <sz val="11"/>
      <name val="Arial"/>
    </font>
    <font>
      <sz val="11"/>
      <name val="Arial"/>
    </font>
    <font>
      <b/>
      <sz val="11"/>
      <color rgb="FFFF0000"/>
      <name val="Arial"/>
    </font>
    <font>
      <b/>
      <sz val="10"/>
      <color rgb="FF000000"/>
      <name val="Arial"/>
    </font>
    <font>
      <sz val="10"/>
      <name val="Arial"/>
    </font>
    <font>
      <sz val="8"/>
      <name val="Arial"/>
    </font>
    <font>
      <sz val="11"/>
      <name val="Arial"/>
    </font>
    <font>
      <strike/>
      <sz val="10"/>
      <color rgb="FFC00000"/>
      <name val="Arial"/>
    </font>
    <font>
      <strike/>
      <sz val="10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17A45"/>
        <bgColor indexed="64"/>
      </patternFill>
    </fill>
    <fill>
      <patternFill patternType="solid">
        <fgColor rgb="FF6BCFBC"/>
        <bgColor indexed="64"/>
      </patternFill>
    </fill>
    <fill>
      <patternFill patternType="solid">
        <fgColor rgb="FF6E9AAE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2" fillId="7" borderId="23" applyNumberFormat="0" applyFont="0" applyAlignment="0" applyProtection="0"/>
  </cellStyleXfs>
  <cellXfs count="15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3" fillId="2" borderId="2" xfId="0" applyFont="1" applyFill="1" applyBorder="1"/>
    <xf numFmtId="0" fontId="2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/>
    <xf numFmtId="0" fontId="3" fillId="0" borderId="0" xfId="0" applyFont="1" applyAlignment="1"/>
    <xf numFmtId="0" fontId="2" fillId="0" borderId="6" xfId="0" applyFont="1" applyBorder="1" applyAlignment="1"/>
    <xf numFmtId="165" fontId="3" fillId="0" borderId="6" xfId="0" applyNumberFormat="1" applyFont="1" applyBorder="1"/>
    <xf numFmtId="0" fontId="3" fillId="0" borderId="6" xfId="0" applyFont="1" applyBorder="1" applyAlignment="1"/>
    <xf numFmtId="0" fontId="3" fillId="0" borderId="7" xfId="0" applyFont="1" applyBorder="1"/>
    <xf numFmtId="165" fontId="3" fillId="0" borderId="0" xfId="0" applyNumberFormat="1" applyFont="1" applyAlignment="1"/>
    <xf numFmtId="0" fontId="3" fillId="0" borderId="8" xfId="0" applyFont="1" applyBorder="1"/>
    <xf numFmtId="165" fontId="2" fillId="0" borderId="6" xfId="0" applyNumberFormat="1" applyFont="1" applyBorder="1"/>
    <xf numFmtId="166" fontId="3" fillId="0" borderId="6" xfId="0" applyNumberFormat="1" applyFont="1" applyBorder="1"/>
    <xf numFmtId="0" fontId="3" fillId="0" borderId="9" xfId="0" applyFont="1" applyBorder="1"/>
    <xf numFmtId="165" fontId="2" fillId="0" borderId="10" xfId="0" applyNumberFormat="1" applyFont="1" applyBorder="1"/>
    <xf numFmtId="0" fontId="3" fillId="0" borderId="10" xfId="0" applyFont="1" applyBorder="1" applyAlignment="1"/>
    <xf numFmtId="0" fontId="3" fillId="0" borderId="11" xfId="0" applyFont="1" applyBorder="1"/>
    <xf numFmtId="0" fontId="3" fillId="0" borderId="4" xfId="0" applyFont="1" applyBorder="1"/>
    <xf numFmtId="0" fontId="3" fillId="0" borderId="5" xfId="0" applyFont="1" applyBorder="1" applyAlignment="1"/>
    <xf numFmtId="0" fontId="3" fillId="0" borderId="7" xfId="0" applyFont="1" applyBorder="1" applyAlignment="1"/>
    <xf numFmtId="2" fontId="3" fillId="0" borderId="7" xfId="0" applyNumberFormat="1" applyFont="1" applyBorder="1"/>
    <xf numFmtId="0" fontId="3" fillId="0" borderId="8" xfId="0" applyFont="1" applyBorder="1" applyAlignment="1"/>
    <xf numFmtId="0" fontId="0" fillId="0" borderId="0" xfId="0" applyFont="1"/>
    <xf numFmtId="0" fontId="7" fillId="0" borderId="9" xfId="0" applyFont="1" applyBorder="1" applyAlignment="1"/>
    <xf numFmtId="165" fontId="2" fillId="0" borderId="0" xfId="0" applyNumberFormat="1" applyFont="1"/>
    <xf numFmtId="0" fontId="3" fillId="0" borderId="10" xfId="0" applyFont="1" applyBorder="1"/>
    <xf numFmtId="0" fontId="2" fillId="2" borderId="3" xfId="0" applyFont="1" applyFill="1" applyBorder="1" applyAlignment="1"/>
    <xf numFmtId="0" fontId="3" fillId="2" borderId="5" xfId="0" applyFont="1" applyFill="1" applyBorder="1"/>
    <xf numFmtId="0" fontId="3" fillId="0" borderId="11" xfId="0" applyFont="1" applyBorder="1" applyAlignment="1"/>
    <xf numFmtId="165" fontId="2" fillId="0" borderId="9" xfId="0" applyNumberFormat="1" applyFont="1" applyBorder="1"/>
    <xf numFmtId="0" fontId="7" fillId="0" borderId="0" xfId="0" applyFont="1" applyAlignment="1"/>
    <xf numFmtId="0" fontId="9" fillId="0" borderId="6" xfId="0" applyFont="1" applyBorder="1" applyAlignment="1">
      <alignment horizontal="left" vertical="center" wrapText="1"/>
    </xf>
    <xf numFmtId="166" fontId="3" fillId="0" borderId="0" xfId="0" applyNumberFormat="1" applyFont="1"/>
    <xf numFmtId="0" fontId="0" fillId="0" borderId="7" xfId="0" applyFont="1" applyBorder="1"/>
    <xf numFmtId="0" fontId="0" fillId="0" borderId="8" xfId="0" applyFont="1" applyBorder="1" applyAlignment="1"/>
    <xf numFmtId="166" fontId="3" fillId="0" borderId="10" xfId="0" applyNumberFormat="1" applyFont="1" applyBorder="1"/>
    <xf numFmtId="0" fontId="3" fillId="0" borderId="12" xfId="0" applyFont="1" applyBorder="1" applyAlignment="1"/>
    <xf numFmtId="0" fontId="3" fillId="0" borderId="12" xfId="0" applyFont="1" applyBorder="1"/>
    <xf numFmtId="166" fontId="3" fillId="0" borderId="9" xfId="0" applyNumberFormat="1" applyFont="1" applyBorder="1" applyAlignment="1"/>
    <xf numFmtId="165" fontId="3" fillId="0" borderId="0" xfId="0" applyNumberFormat="1" applyFont="1"/>
    <xf numFmtId="0" fontId="0" fillId="0" borderId="0" xfId="0" applyFont="1" applyAlignment="1"/>
    <xf numFmtId="167" fontId="0" fillId="0" borderId="0" xfId="0" applyNumberFormat="1" applyFont="1" applyAlignment="1"/>
    <xf numFmtId="1" fontId="0" fillId="0" borderId="0" xfId="0" applyNumberFormat="1" applyFont="1" applyAlignment="1"/>
    <xf numFmtId="0" fontId="14" fillId="0" borderId="0" xfId="0" applyFont="1" applyAlignment="1"/>
    <xf numFmtId="168" fontId="0" fillId="0" borderId="0" xfId="0" applyNumberFormat="1" applyFont="1" applyAlignment="1"/>
    <xf numFmtId="0" fontId="9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/>
    <xf numFmtId="43" fontId="0" fillId="0" borderId="0" xfId="0" applyNumberFormat="1" applyFont="1" applyAlignment="1"/>
    <xf numFmtId="0" fontId="17" fillId="0" borderId="0" xfId="0" applyFont="1" applyAlignment="1"/>
    <xf numFmtId="0" fontId="0" fillId="0" borderId="0" xfId="0" applyFont="1" applyFill="1" applyAlignment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2" fillId="0" borderId="14" xfId="0" applyFont="1" applyBorder="1" applyAlignment="1"/>
    <xf numFmtId="0" fontId="3" fillId="0" borderId="15" xfId="0" applyFont="1" applyBorder="1"/>
    <xf numFmtId="0" fontId="0" fillId="0" borderId="16" xfId="0" applyFont="1" applyBorder="1" applyAlignment="1"/>
    <xf numFmtId="165" fontId="3" fillId="0" borderId="17" xfId="0" applyNumberFormat="1" applyFont="1" applyBorder="1" applyAlignment="1"/>
    <xf numFmtId="0" fontId="0" fillId="0" borderId="18" xfId="0" applyFont="1" applyBorder="1" applyAlignment="1"/>
    <xf numFmtId="0" fontId="14" fillId="0" borderId="0" xfId="0" applyFont="1" applyBorder="1" applyAlignment="1"/>
    <xf numFmtId="165" fontId="3" fillId="0" borderId="17" xfId="0" applyNumberFormat="1" applyFont="1" applyBorder="1"/>
    <xf numFmtId="165" fontId="2" fillId="0" borderId="19" xfId="0" applyNumberFormat="1" applyFont="1" applyBorder="1"/>
    <xf numFmtId="0" fontId="3" fillId="0" borderId="20" xfId="0" applyFont="1" applyBorder="1"/>
    <xf numFmtId="0" fontId="0" fillId="0" borderId="21" xfId="0" applyFont="1" applyBorder="1" applyAlignment="1"/>
    <xf numFmtId="165" fontId="3" fillId="0" borderId="19" xfId="0" applyNumberFormat="1" applyFont="1" applyBorder="1" applyAlignment="1"/>
    <xf numFmtId="0" fontId="3" fillId="0" borderId="20" xfId="0" applyFont="1" applyBorder="1" applyAlignment="1"/>
    <xf numFmtId="0" fontId="0" fillId="0" borderId="20" xfId="0" applyFont="1" applyBorder="1" applyAlignment="1"/>
    <xf numFmtId="164" fontId="0" fillId="0" borderId="0" xfId="0" applyNumberFormat="1" applyFont="1" applyAlignment="1"/>
    <xf numFmtId="0" fontId="4" fillId="0" borderId="0" xfId="0" applyFont="1" applyFill="1" applyAlignment="1"/>
    <xf numFmtId="165" fontId="0" fillId="0" borderId="0" xfId="0" applyNumberFormat="1" applyFont="1" applyAlignment="1"/>
    <xf numFmtId="169" fontId="0" fillId="0" borderId="0" xfId="0" applyNumberFormat="1" applyFont="1" applyAlignment="1"/>
    <xf numFmtId="0" fontId="2" fillId="2" borderId="14" xfId="0" applyFont="1" applyFill="1" applyBorder="1" applyAlignment="1"/>
    <xf numFmtId="0" fontId="3" fillId="2" borderId="16" xfId="0" applyFont="1" applyFill="1" applyBorder="1"/>
    <xf numFmtId="0" fontId="3" fillId="0" borderId="21" xfId="0" applyFont="1" applyBorder="1" applyAlignment="1"/>
    <xf numFmtId="169" fontId="5" fillId="0" borderId="0" xfId="0" applyNumberFormat="1" applyFont="1" applyFill="1" applyBorder="1" applyAlignment="1">
      <alignment horizontal="left" vertical="center" wrapText="1"/>
    </xf>
    <xf numFmtId="169" fontId="6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8" fontId="6" fillId="0" borderId="0" xfId="0" applyNumberFormat="1" applyFont="1" applyFill="1" applyBorder="1" applyAlignment="1">
      <alignment horizontal="center" vertical="center" wrapText="1"/>
    </xf>
    <xf numFmtId="43" fontId="11" fillId="0" borderId="0" xfId="0" applyNumberFormat="1" applyFont="1" applyFill="1" applyBorder="1" applyAlignment="1">
      <alignment horizontal="left" vertical="center" wrapText="1"/>
    </xf>
    <xf numFmtId="168" fontId="13" fillId="0" borderId="22" xfId="0" applyNumberFormat="1" applyFont="1" applyBorder="1" applyAlignment="1"/>
    <xf numFmtId="0" fontId="20" fillId="0" borderId="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/>
    <xf numFmtId="1" fontId="13" fillId="0" borderId="22" xfId="0" applyNumberFormat="1" applyFont="1" applyBorder="1" applyAlignment="1"/>
    <xf numFmtId="2" fontId="13" fillId="0" borderId="22" xfId="0" applyNumberFormat="1" applyFont="1" applyBorder="1" applyAlignment="1"/>
    <xf numFmtId="165" fontId="0" fillId="0" borderId="17" xfId="0" applyNumberFormat="1" applyFont="1" applyBorder="1" applyAlignment="1"/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/>
    </xf>
    <xf numFmtId="0" fontId="13" fillId="4" borderId="13" xfId="0" applyFont="1" applyFill="1" applyBorder="1" applyAlignment="1"/>
    <xf numFmtId="168" fontId="16" fillId="4" borderId="13" xfId="1" applyNumberFormat="1" applyFont="1" applyFill="1" applyBorder="1" applyAlignment="1"/>
    <xf numFmtId="1" fontId="16" fillId="4" borderId="13" xfId="0" applyNumberFormat="1" applyFont="1" applyFill="1" applyBorder="1" applyAlignment="1"/>
    <xf numFmtId="0" fontId="16" fillId="4" borderId="13" xfId="0" applyFont="1" applyFill="1" applyBorder="1" applyAlignment="1"/>
    <xf numFmtId="168" fontId="16" fillId="4" borderId="13" xfId="0" applyNumberFormat="1" applyFont="1" applyFill="1" applyBorder="1" applyAlignment="1"/>
    <xf numFmtId="0" fontId="13" fillId="0" borderId="0" xfId="0" applyFont="1" applyAlignment="1"/>
    <xf numFmtId="0" fontId="14" fillId="0" borderId="6" xfId="0" applyFont="1" applyFill="1" applyBorder="1" applyAlignment="1">
      <alignment horizontal="left"/>
    </xf>
    <xf numFmtId="0" fontId="13" fillId="5" borderId="13" xfId="0" applyFont="1" applyFill="1" applyBorder="1" applyAlignment="1"/>
    <xf numFmtId="1" fontId="16" fillId="5" borderId="13" xfId="0" applyNumberFormat="1" applyFont="1" applyFill="1" applyBorder="1" applyAlignment="1"/>
    <xf numFmtId="2" fontId="16" fillId="5" borderId="13" xfId="0" applyNumberFormat="1" applyFont="1" applyFill="1" applyBorder="1" applyAlignment="1"/>
    <xf numFmtId="168" fontId="16" fillId="5" borderId="13" xfId="1" applyNumberFormat="1" applyFont="1" applyFill="1" applyBorder="1" applyAlignment="1"/>
    <xf numFmtId="168" fontId="16" fillId="5" borderId="13" xfId="0" applyNumberFormat="1" applyFont="1" applyFill="1" applyBorder="1" applyAlignment="1"/>
    <xf numFmtId="0" fontId="13" fillId="6" borderId="13" xfId="0" applyFont="1" applyFill="1" applyBorder="1" applyAlignment="1"/>
    <xf numFmtId="1" fontId="16" fillId="6" borderId="13" xfId="0" applyNumberFormat="1" applyFont="1" applyFill="1" applyBorder="1" applyAlignment="1"/>
    <xf numFmtId="2" fontId="16" fillId="6" borderId="13" xfId="0" applyNumberFormat="1" applyFont="1" applyFill="1" applyBorder="1" applyAlignment="1"/>
    <xf numFmtId="168" fontId="16" fillId="6" borderId="13" xfId="1" applyNumberFormat="1" applyFont="1" applyFill="1" applyBorder="1" applyAlignment="1"/>
    <xf numFmtId="168" fontId="16" fillId="6" borderId="13" xfId="0" applyNumberFormat="1" applyFont="1" applyFill="1" applyBorder="1" applyAlignment="1"/>
    <xf numFmtId="1" fontId="17" fillId="7" borderId="23" xfId="2" applyNumberFormat="1" applyFont="1" applyAlignment="1"/>
    <xf numFmtId="164" fontId="17" fillId="7" borderId="23" xfId="2" applyNumberFormat="1" applyFont="1" applyAlignment="1"/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0" fontId="3" fillId="3" borderId="15" xfId="0" applyFont="1" applyFill="1" applyBorder="1"/>
    <xf numFmtId="0" fontId="3" fillId="3" borderId="16" xfId="0" applyFont="1" applyFill="1" applyBorder="1"/>
    <xf numFmtId="0" fontId="3" fillId="0" borderId="17" xfId="0" applyFont="1" applyBorder="1" applyAlignment="1"/>
    <xf numFmtId="0" fontId="3" fillId="0" borderId="18" xfId="0" applyFont="1" applyBorder="1"/>
    <xf numFmtId="164" fontId="3" fillId="0" borderId="17" xfId="0" applyNumberFormat="1" applyFont="1" applyBorder="1"/>
    <xf numFmtId="168" fontId="19" fillId="0" borderId="17" xfId="1" applyNumberFormat="1" applyFont="1" applyFill="1" applyBorder="1" applyAlignment="1"/>
    <xf numFmtId="1" fontId="3" fillId="0" borderId="17" xfId="0" applyNumberFormat="1" applyFont="1" applyBorder="1"/>
    <xf numFmtId="0" fontId="3" fillId="0" borderId="21" xfId="0" applyFont="1" applyBorder="1"/>
    <xf numFmtId="165" fontId="3" fillId="0" borderId="10" xfId="0" applyNumberFormat="1" applyFont="1" applyBorder="1"/>
    <xf numFmtId="165" fontId="2" fillId="0" borderId="12" xfId="0" applyNumberFormat="1" applyFont="1" applyBorder="1"/>
    <xf numFmtId="0" fontId="0" fillId="0" borderId="0" xfId="0" applyFont="1" applyAlignment="1"/>
    <xf numFmtId="165" fontId="2" fillId="7" borderId="23" xfId="2" applyNumberFormat="1" applyFont="1"/>
    <xf numFmtId="165" fontId="3" fillId="7" borderId="23" xfId="2" applyNumberFormat="1" applyFont="1" applyAlignment="1"/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8" fontId="0" fillId="0" borderId="0" xfId="1" applyNumberFormat="1" applyFont="1" applyAlignment="1"/>
    <xf numFmtId="1" fontId="16" fillId="0" borderId="13" xfId="0" applyNumberFormat="1" applyFont="1" applyBorder="1" applyAlignment="1"/>
    <xf numFmtId="0" fontId="16" fillId="0" borderId="13" xfId="0" applyFont="1" applyBorder="1" applyAlignment="1"/>
    <xf numFmtId="168" fontId="16" fillId="0" borderId="13" xfId="0" applyNumberFormat="1" applyFont="1" applyBorder="1" applyAlignment="1"/>
    <xf numFmtId="168" fontId="15" fillId="0" borderId="13" xfId="1" applyNumberFormat="1" applyFont="1" applyBorder="1" applyAlignment="1"/>
    <xf numFmtId="0" fontId="15" fillId="8" borderId="13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/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F17A45"/>
      <color rgb="FF6E9AAE"/>
      <color rgb="FF6BCF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235241</xdr:colOff>
      <xdr:row>7</xdr:row>
      <xdr:rowOff>123824</xdr:rowOff>
    </xdr:from>
    <xdr:to>
      <xdr:col>18</xdr:col>
      <xdr:colOff>809625</xdr:colOff>
      <xdr:row>29</xdr:row>
      <xdr:rowOff>124631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3766" y="1743074"/>
          <a:ext cx="5260684" cy="4687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26</xdr:row>
      <xdr:rowOff>9525</xdr:rowOff>
    </xdr:from>
    <xdr:to>
      <xdr:col>5</xdr:col>
      <xdr:colOff>228600</xdr:colOff>
      <xdr:row>28</xdr:row>
      <xdr:rowOff>47625</xdr:rowOff>
    </xdr:to>
    <xdr:sp macro="" textlink="">
      <xdr:nvSpPr>
        <xdr:cNvPr id="2" name="TextBox 1"/>
        <xdr:cNvSpPr txBox="1"/>
      </xdr:nvSpPr>
      <xdr:spPr>
        <a:xfrm>
          <a:off x="2590800" y="4924425"/>
          <a:ext cx="237172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000">
              <a:latin typeface="Arial" panose="020B0604020202020204" pitchFamily="34" charset="0"/>
              <a:cs typeface="Arial" panose="020B0604020202020204" pitchFamily="34" charset="0"/>
            </a:rPr>
            <a:t>Adjust local gold price in cell B23 until Profit/loss in cell I9 = 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Normal="100" workbookViewId="0">
      <selection activeCell="M25" sqref="M25"/>
    </sheetView>
  </sheetViews>
  <sheetFormatPr defaultRowHeight="13.8"/>
  <cols>
    <col min="1" max="1" width="2" style="52" customWidth="1"/>
    <col min="4" max="4" width="10.3984375" customWidth="1"/>
    <col min="8" max="8" width="10.09765625" bestFit="1" customWidth="1"/>
    <col min="9" max="9" width="35.09765625" customWidth="1"/>
    <col min="11" max="11" width="2.8984375" customWidth="1"/>
    <col min="12" max="12" width="15.19921875" customWidth="1"/>
    <col min="13" max="13" width="15.3984375" customWidth="1"/>
    <col min="14" max="14" width="12.8984375" customWidth="1"/>
    <col min="15" max="15" width="13" customWidth="1"/>
    <col min="16" max="16" width="11" customWidth="1"/>
    <col min="17" max="17" width="13.09765625" customWidth="1"/>
    <col min="18" max="18" width="11.5" customWidth="1"/>
    <col min="19" max="19" width="11" customWidth="1"/>
    <col min="20" max="20" width="9.09765625" customWidth="1"/>
    <col min="21" max="21" width="16.09765625" bestFit="1" customWidth="1"/>
  </cols>
  <sheetData>
    <row r="1" spans="2:20" s="52" customFormat="1">
      <c r="B1" s="118" t="s">
        <v>94</v>
      </c>
      <c r="L1" s="118" t="s">
        <v>99</v>
      </c>
    </row>
    <row r="2" spans="2:20" s="52" customFormat="1"/>
    <row r="3" spans="2:20" ht="39.6">
      <c r="B3" s="155" t="s">
        <v>0</v>
      </c>
      <c r="C3" s="155" t="s">
        <v>1</v>
      </c>
      <c r="D3" s="155" t="s">
        <v>2</v>
      </c>
      <c r="E3" s="155" t="s">
        <v>33</v>
      </c>
      <c r="F3" s="155" t="s">
        <v>3</v>
      </c>
      <c r="G3" s="155" t="s">
        <v>4</v>
      </c>
      <c r="H3" s="155" t="s">
        <v>34</v>
      </c>
      <c r="I3" s="155" t="s">
        <v>35</v>
      </c>
      <c r="J3" s="155" t="s">
        <v>36</v>
      </c>
      <c r="M3" s="154" t="s">
        <v>83</v>
      </c>
      <c r="N3" s="154" t="s">
        <v>84</v>
      </c>
      <c r="O3" s="154" t="s">
        <v>85</v>
      </c>
      <c r="P3" s="154" t="s">
        <v>86</v>
      </c>
      <c r="Q3" s="154" t="s">
        <v>87</v>
      </c>
      <c r="R3" s="154" t="s">
        <v>93</v>
      </c>
      <c r="S3" s="154" t="s">
        <v>89</v>
      </c>
      <c r="T3" s="154" t="s">
        <v>88</v>
      </c>
    </row>
    <row r="4" spans="2:20" ht="15" customHeight="1">
      <c r="B4" s="98">
        <v>1</v>
      </c>
      <c r="C4" s="99">
        <f t="shared" ref="C4:C18" si="0">D4+E4</f>
        <v>4.9000000000000004</v>
      </c>
      <c r="D4" s="99">
        <v>2.1</v>
      </c>
      <c r="E4" s="99">
        <v>2.8</v>
      </c>
      <c r="F4" s="99">
        <v>10</v>
      </c>
      <c r="G4" s="99">
        <v>93</v>
      </c>
      <c r="H4" s="98" t="s">
        <v>39</v>
      </c>
      <c r="I4" s="98" t="s">
        <v>40</v>
      </c>
      <c r="J4" s="100">
        <v>1</v>
      </c>
      <c r="L4" s="113" t="s">
        <v>41</v>
      </c>
      <c r="M4" s="115">
        <f>SUMPRODUCT(E4:E8,F4:F8,G4:G8)/SUMPRODUCT(E4:E8,F4:F8)</f>
        <v>493.45975609756096</v>
      </c>
      <c r="N4" s="116">
        <f>AVERAGE(E4:E8)</f>
        <v>2.98</v>
      </c>
      <c r="O4" s="116">
        <f>AVERAGE(D4:D8)</f>
        <v>1.9</v>
      </c>
      <c r="P4" s="114">
        <v>92000</v>
      </c>
      <c r="Q4" s="117">
        <f>P4*N4</f>
        <v>274160</v>
      </c>
      <c r="R4" s="117">
        <f>P4*O4</f>
        <v>174800</v>
      </c>
      <c r="S4" s="117">
        <f>Q4*M4</f>
        <v>135286926.7317073</v>
      </c>
      <c r="T4" s="117">
        <f>S4*$L$10</f>
        <v>4349.5693952731017</v>
      </c>
    </row>
    <row r="5" spans="2:20" ht="15" customHeight="1">
      <c r="B5" s="98">
        <v>2</v>
      </c>
      <c r="C5" s="99">
        <f t="shared" si="0"/>
        <v>5.2</v>
      </c>
      <c r="D5" s="99">
        <v>1.6</v>
      </c>
      <c r="E5" s="99">
        <v>3.6</v>
      </c>
      <c r="F5" s="99">
        <v>15</v>
      </c>
      <c r="G5" s="99">
        <v>112</v>
      </c>
      <c r="H5" s="98" t="s">
        <v>39</v>
      </c>
      <c r="I5" s="98"/>
      <c r="J5" s="100">
        <v>1</v>
      </c>
      <c r="L5" s="120" t="s">
        <v>51</v>
      </c>
      <c r="M5" s="121">
        <f>SUMPRODUCT(E9:E14,F9:F14,G9:G14)/SUMPRODUCT(E9:E14,F9:F14)</f>
        <v>244.40805152979067</v>
      </c>
      <c r="N5" s="122">
        <f>AVERAGE(E9:E14)</f>
        <v>3.0666666666666669</v>
      </c>
      <c r="O5" s="122">
        <f>AVERAGE(D9:D14)</f>
        <v>1.8833333333333331</v>
      </c>
      <c r="P5" s="123">
        <v>163000</v>
      </c>
      <c r="Q5" s="124">
        <f>P5*N5</f>
        <v>499866.66666666669</v>
      </c>
      <c r="R5" s="124">
        <f>P5*O5</f>
        <v>306983.33333333331</v>
      </c>
      <c r="S5" s="124">
        <f>Q5*M5</f>
        <v>122171438.02469137</v>
      </c>
      <c r="T5" s="124">
        <f t="shared" ref="T5:T6" si="1">S5*$L$10</f>
        <v>3927.8972525004447</v>
      </c>
    </row>
    <row r="6" spans="2:20" ht="15" customHeight="1">
      <c r="B6" s="98">
        <v>4</v>
      </c>
      <c r="C6" s="99">
        <f t="shared" si="0"/>
        <v>3.8</v>
      </c>
      <c r="D6" s="99">
        <v>1.7</v>
      </c>
      <c r="E6" s="99">
        <v>2.1</v>
      </c>
      <c r="F6" s="99">
        <v>15</v>
      </c>
      <c r="G6" s="99">
        <v>367</v>
      </c>
      <c r="H6" s="98" t="s">
        <v>39</v>
      </c>
      <c r="I6" s="98"/>
      <c r="J6" s="100">
        <v>1</v>
      </c>
      <c r="L6" s="125" t="s">
        <v>64</v>
      </c>
      <c r="M6" s="126">
        <f>SUMPRODUCT(E15:E18,F15:F18,G15:G18)/SUMPRODUCT(E15:E18,F15:F18)</f>
        <v>165.5231825987407</v>
      </c>
      <c r="N6" s="127">
        <f>AVERAGE(E15:E18)</f>
        <v>3.15</v>
      </c>
      <c r="O6" s="127">
        <f>AVERAGE(D15:D18)</f>
        <v>1.4750000000000001</v>
      </c>
      <c r="P6" s="128">
        <v>116000</v>
      </c>
      <c r="Q6" s="129">
        <f>P6*N6</f>
        <v>365400</v>
      </c>
      <c r="R6" s="129">
        <f>P6*O6</f>
        <v>171100</v>
      </c>
      <c r="S6" s="129">
        <f>Q6*M6</f>
        <v>60482170.921579853</v>
      </c>
      <c r="T6" s="129">
        <f t="shared" si="1"/>
        <v>1944.5441326484372</v>
      </c>
    </row>
    <row r="7" spans="2:20" ht="15" customHeight="1" thickBot="1">
      <c r="B7" s="98">
        <v>5</v>
      </c>
      <c r="C7" s="99">
        <f t="shared" si="0"/>
        <v>5.1999999999999993</v>
      </c>
      <c r="D7" s="99">
        <v>1.9</v>
      </c>
      <c r="E7" s="99">
        <v>3.3</v>
      </c>
      <c r="F7" s="99">
        <v>200</v>
      </c>
      <c r="G7" s="99">
        <v>559</v>
      </c>
      <c r="H7" s="98" t="s">
        <v>39</v>
      </c>
      <c r="I7" s="98" t="s">
        <v>69</v>
      </c>
      <c r="J7" s="100">
        <v>1</v>
      </c>
      <c r="L7" s="94" t="s">
        <v>96</v>
      </c>
      <c r="M7" s="95">
        <f>(T7/Q7)/L10</f>
        <v>279.03554039866117</v>
      </c>
      <c r="N7" s="96">
        <f>Q7/P7</f>
        <v>3.071230907457323</v>
      </c>
      <c r="O7" s="96">
        <f>R7/P7</f>
        <v>1.759793351302785</v>
      </c>
      <c r="P7" s="92">
        <f>SUM(P4:P6)</f>
        <v>371000</v>
      </c>
      <c r="Q7" s="92">
        <f>SUM(Q4:Q6)</f>
        <v>1139426.6666666667</v>
      </c>
      <c r="R7" s="92">
        <f>SUM(R4:R6)</f>
        <v>652883.33333333326</v>
      </c>
      <c r="S7" s="92"/>
      <c r="T7" s="92">
        <f>SUM(T4:T6)</f>
        <v>10222.010780421984</v>
      </c>
    </row>
    <row r="8" spans="2:20" ht="15" customHeight="1" thickTop="1">
      <c r="B8" s="101">
        <v>6</v>
      </c>
      <c r="C8" s="99">
        <f t="shared" si="0"/>
        <v>5.3000000000000007</v>
      </c>
      <c r="D8" s="102">
        <v>2.2000000000000002</v>
      </c>
      <c r="E8" s="102">
        <v>3.1</v>
      </c>
      <c r="F8" s="102">
        <v>15</v>
      </c>
      <c r="G8" s="102">
        <v>333</v>
      </c>
      <c r="H8" s="101" t="s">
        <v>39</v>
      </c>
      <c r="I8" s="101"/>
      <c r="J8" s="103">
        <v>1</v>
      </c>
    </row>
    <row r="9" spans="2:20" ht="15" customHeight="1">
      <c r="B9" s="104">
        <v>7</v>
      </c>
      <c r="C9" s="105">
        <f t="shared" si="0"/>
        <v>5.0999999999999996</v>
      </c>
      <c r="D9" s="105">
        <v>2.5</v>
      </c>
      <c r="E9" s="105">
        <v>2.6</v>
      </c>
      <c r="F9" s="105">
        <v>15</v>
      </c>
      <c r="G9" s="105">
        <v>266</v>
      </c>
      <c r="H9" s="104" t="s">
        <v>39</v>
      </c>
      <c r="I9" s="104"/>
      <c r="J9" s="106">
        <v>2</v>
      </c>
      <c r="L9" s="53" t="s">
        <v>90</v>
      </c>
    </row>
    <row r="10" spans="2:20" ht="15" customHeight="1">
      <c r="B10" s="104">
        <v>8</v>
      </c>
      <c r="C10" s="105">
        <f t="shared" si="0"/>
        <v>5</v>
      </c>
      <c r="D10" s="105">
        <v>1.3</v>
      </c>
      <c r="E10" s="105">
        <v>3.7</v>
      </c>
      <c r="F10" s="105">
        <v>200</v>
      </c>
      <c r="G10" s="105">
        <v>259</v>
      </c>
      <c r="H10" s="104" t="s">
        <v>39</v>
      </c>
      <c r="I10" s="104" t="s">
        <v>69</v>
      </c>
      <c r="J10" s="106">
        <v>2</v>
      </c>
      <c r="L10" s="26">
        <v>3.2150699999999997E-5</v>
      </c>
      <c r="T10" s="48"/>
    </row>
    <row r="11" spans="2:20" ht="15" customHeight="1">
      <c r="B11" s="107">
        <v>9</v>
      </c>
      <c r="C11" s="105">
        <f t="shared" si="0"/>
        <v>5.5</v>
      </c>
      <c r="D11" s="108">
        <v>2.4</v>
      </c>
      <c r="E11" s="108">
        <v>3.1</v>
      </c>
      <c r="F11" s="108">
        <v>15</v>
      </c>
      <c r="G11" s="108">
        <v>232</v>
      </c>
      <c r="H11" s="107" t="s">
        <v>39</v>
      </c>
      <c r="I11" s="107"/>
      <c r="J11" s="109">
        <v>2</v>
      </c>
      <c r="S11" s="48"/>
    </row>
    <row r="12" spans="2:20" ht="15" customHeight="1">
      <c r="B12" s="104">
        <v>10</v>
      </c>
      <c r="C12" s="105">
        <f t="shared" si="0"/>
        <v>4.5999999999999996</v>
      </c>
      <c r="D12" s="105">
        <v>2.1</v>
      </c>
      <c r="E12" s="105">
        <v>2.5</v>
      </c>
      <c r="F12" s="105">
        <v>15</v>
      </c>
      <c r="G12" s="105">
        <v>216</v>
      </c>
      <c r="H12" s="104" t="s">
        <v>39</v>
      </c>
      <c r="I12" s="104"/>
      <c r="J12" s="106">
        <v>2</v>
      </c>
      <c r="L12" s="47"/>
      <c r="P12" s="89"/>
      <c r="Q12" s="45"/>
    </row>
    <row r="13" spans="2:20" ht="15" customHeight="1">
      <c r="B13" s="104">
        <v>11</v>
      </c>
      <c r="C13" s="105">
        <f t="shared" si="0"/>
        <v>4.5</v>
      </c>
      <c r="D13" s="105">
        <v>1.3</v>
      </c>
      <c r="E13" s="105">
        <v>3.2</v>
      </c>
      <c r="F13" s="105">
        <v>200</v>
      </c>
      <c r="G13" s="105">
        <v>234</v>
      </c>
      <c r="H13" s="104" t="s">
        <v>39</v>
      </c>
      <c r="I13" s="104" t="s">
        <v>69</v>
      </c>
      <c r="J13" s="106">
        <v>2</v>
      </c>
      <c r="L13" s="44"/>
      <c r="P13" s="89"/>
      <c r="S13" s="83"/>
    </row>
    <row r="14" spans="2:20" ht="15" customHeight="1">
      <c r="B14" s="107">
        <v>12</v>
      </c>
      <c r="C14" s="105">
        <f t="shared" si="0"/>
        <v>5</v>
      </c>
      <c r="D14" s="108">
        <v>1.7</v>
      </c>
      <c r="E14" s="108">
        <v>3.3</v>
      </c>
      <c r="F14" s="108">
        <v>15</v>
      </c>
      <c r="G14" s="108">
        <v>177</v>
      </c>
      <c r="H14" s="107" t="s">
        <v>39</v>
      </c>
      <c r="I14" s="107"/>
      <c r="J14" s="109">
        <v>2</v>
      </c>
      <c r="R14" s="57"/>
      <c r="S14" s="87"/>
      <c r="T14" s="57"/>
    </row>
    <row r="15" spans="2:20" ht="15" customHeight="1">
      <c r="B15" s="110">
        <v>13</v>
      </c>
      <c r="C15" s="111">
        <f t="shared" si="0"/>
        <v>3.6</v>
      </c>
      <c r="D15" s="111">
        <v>1.1000000000000001</v>
      </c>
      <c r="E15" s="111">
        <v>2.5</v>
      </c>
      <c r="F15" s="111">
        <v>15</v>
      </c>
      <c r="G15" s="111">
        <v>239</v>
      </c>
      <c r="H15" s="110" t="s">
        <v>39</v>
      </c>
      <c r="I15" s="110"/>
      <c r="J15" s="112">
        <v>3</v>
      </c>
      <c r="R15" s="59"/>
      <c r="S15" s="88"/>
      <c r="T15" s="60"/>
    </row>
    <row r="16" spans="2:20" ht="15" customHeight="1">
      <c r="B16" s="110">
        <v>14</v>
      </c>
      <c r="C16" s="111">
        <f t="shared" si="0"/>
        <v>4.8</v>
      </c>
      <c r="D16" s="111">
        <v>1.5</v>
      </c>
      <c r="E16" s="111">
        <v>3.3</v>
      </c>
      <c r="F16" s="111">
        <v>15</v>
      </c>
      <c r="G16" s="111">
        <v>332</v>
      </c>
      <c r="H16" s="110" t="s">
        <v>39</v>
      </c>
      <c r="I16" s="110"/>
      <c r="J16" s="112">
        <v>3</v>
      </c>
      <c r="R16" s="59"/>
      <c r="S16" s="59"/>
      <c r="T16" s="60"/>
    </row>
    <row r="17" spans="2:20" ht="15" customHeight="1">
      <c r="B17" s="110">
        <v>15</v>
      </c>
      <c r="C17" s="111">
        <f t="shared" si="0"/>
        <v>5.0999999999999996</v>
      </c>
      <c r="D17" s="111">
        <v>1.4</v>
      </c>
      <c r="E17" s="111">
        <v>3.7</v>
      </c>
      <c r="F17" s="111">
        <v>200</v>
      </c>
      <c r="G17" s="111">
        <v>149</v>
      </c>
      <c r="H17" s="110" t="s">
        <v>39</v>
      </c>
      <c r="I17" s="110" t="s">
        <v>69</v>
      </c>
      <c r="J17" s="112">
        <v>3</v>
      </c>
      <c r="P17" s="58"/>
      <c r="Q17" s="90"/>
      <c r="R17" s="59"/>
      <c r="S17" s="59"/>
      <c r="T17" s="60"/>
    </row>
    <row r="18" spans="2:20" ht="15" customHeight="1">
      <c r="B18" s="110">
        <v>16</v>
      </c>
      <c r="C18" s="111">
        <f t="shared" si="0"/>
        <v>5</v>
      </c>
      <c r="D18" s="111">
        <v>1.9</v>
      </c>
      <c r="E18" s="111">
        <v>3.1</v>
      </c>
      <c r="F18" s="111">
        <v>15</v>
      </c>
      <c r="G18" s="111">
        <v>192</v>
      </c>
      <c r="H18" s="110" t="s">
        <v>39</v>
      </c>
      <c r="I18" s="110"/>
      <c r="J18" s="112">
        <v>3</v>
      </c>
      <c r="P18" s="58"/>
      <c r="Q18" s="59"/>
      <c r="R18" s="59"/>
      <c r="S18" s="59"/>
      <c r="T18" s="60"/>
    </row>
    <row r="19" spans="2:20" ht="15" customHeight="1">
      <c r="B19" s="49">
        <v>3</v>
      </c>
      <c r="C19" s="50">
        <f>D19+E19</f>
        <v>5.8000000000000007</v>
      </c>
      <c r="D19" s="51">
        <v>3.1</v>
      </c>
      <c r="E19" s="51">
        <v>2.7</v>
      </c>
      <c r="F19" s="51">
        <v>15</v>
      </c>
      <c r="G19" s="51">
        <v>42</v>
      </c>
      <c r="H19" s="49" t="s">
        <v>39</v>
      </c>
      <c r="I19" s="49" t="s">
        <v>60</v>
      </c>
      <c r="J19" s="119" t="s">
        <v>95</v>
      </c>
      <c r="P19" s="61"/>
      <c r="Q19" s="59"/>
      <c r="R19" s="93"/>
      <c r="S19" s="62"/>
      <c r="T19" s="63"/>
    </row>
    <row r="20" spans="2:20" ht="15" customHeight="1">
      <c r="B20" s="35">
        <v>17</v>
      </c>
      <c r="C20" s="35">
        <v>4.7</v>
      </c>
      <c r="D20" s="35">
        <v>1.8</v>
      </c>
      <c r="E20" s="35">
        <v>2.9</v>
      </c>
      <c r="F20" s="35">
        <v>15</v>
      </c>
      <c r="G20" s="35">
        <v>14</v>
      </c>
      <c r="H20" s="35" t="s">
        <v>39</v>
      </c>
      <c r="I20" s="35" t="s">
        <v>60</v>
      </c>
      <c r="J20" s="119" t="s">
        <v>95</v>
      </c>
      <c r="P20" s="58"/>
      <c r="Q20" s="59"/>
      <c r="R20" s="59"/>
      <c r="S20" s="59"/>
      <c r="T20" s="60"/>
    </row>
    <row r="21" spans="2:20" ht="15" customHeight="1">
      <c r="B21" s="35">
        <v>18</v>
      </c>
      <c r="C21" s="35">
        <v>5.5</v>
      </c>
      <c r="D21" s="35">
        <v>2.5</v>
      </c>
      <c r="E21" s="35">
        <v>3</v>
      </c>
      <c r="F21" s="35">
        <v>15</v>
      </c>
      <c r="G21" s="35">
        <v>23</v>
      </c>
      <c r="H21" s="35" t="s">
        <v>39</v>
      </c>
      <c r="I21" s="35" t="s">
        <v>60</v>
      </c>
      <c r="J21" s="119" t="s">
        <v>95</v>
      </c>
      <c r="P21" s="58"/>
      <c r="Q21" s="59"/>
      <c r="R21" s="59"/>
      <c r="S21" s="59"/>
      <c r="T21" s="60"/>
    </row>
    <row r="22" spans="2:20" ht="15" customHeight="1">
      <c r="B22" s="156" t="s">
        <v>98</v>
      </c>
      <c r="C22" s="157"/>
      <c r="D22" s="157"/>
      <c r="E22" s="157"/>
      <c r="F22" s="157"/>
      <c r="G22" s="157"/>
      <c r="H22" s="157"/>
      <c r="I22" s="157"/>
      <c r="P22" s="91"/>
      <c r="Q22" s="59"/>
      <c r="R22" s="62"/>
      <c r="S22" s="62"/>
      <c r="T22" s="63"/>
    </row>
    <row r="23" spans="2:20" ht="27" customHeight="1">
      <c r="B23" s="35">
        <v>29</v>
      </c>
      <c r="C23" s="35">
        <v>4</v>
      </c>
      <c r="D23" s="35" t="s">
        <v>5</v>
      </c>
      <c r="E23" s="35" t="s">
        <v>5</v>
      </c>
      <c r="F23" s="35">
        <v>10</v>
      </c>
      <c r="G23" s="35">
        <v>109</v>
      </c>
      <c r="H23" s="35" t="s">
        <v>80</v>
      </c>
      <c r="I23" s="35" t="s">
        <v>81</v>
      </c>
      <c r="J23" s="119" t="s">
        <v>95</v>
      </c>
      <c r="P23" s="58"/>
      <c r="Q23" s="59"/>
      <c r="R23" s="59"/>
      <c r="S23" s="59"/>
      <c r="T23" s="60"/>
    </row>
    <row r="24" spans="2:20" ht="27.75" customHeight="1">
      <c r="B24" s="35">
        <v>30</v>
      </c>
      <c r="C24" s="35">
        <v>4</v>
      </c>
      <c r="D24" s="35" t="s">
        <v>5</v>
      </c>
      <c r="E24" s="35" t="s">
        <v>5</v>
      </c>
      <c r="F24" s="35">
        <v>10</v>
      </c>
      <c r="G24" s="35">
        <v>132</v>
      </c>
      <c r="H24" s="35" t="s">
        <v>80</v>
      </c>
      <c r="I24" s="35" t="s">
        <v>81</v>
      </c>
      <c r="J24" s="119" t="s">
        <v>95</v>
      </c>
      <c r="P24" s="58"/>
      <c r="Q24" s="90"/>
      <c r="R24" s="59"/>
      <c r="S24" s="59"/>
      <c r="T24" s="60"/>
    </row>
    <row r="25" spans="2:20" ht="32.25" customHeight="1">
      <c r="B25" s="35">
        <v>31</v>
      </c>
      <c r="C25" s="35">
        <v>4</v>
      </c>
      <c r="D25" s="35" t="s">
        <v>5</v>
      </c>
      <c r="E25" s="35" t="s">
        <v>5</v>
      </c>
      <c r="F25" s="35">
        <v>10</v>
      </c>
      <c r="G25" s="35">
        <v>91</v>
      </c>
      <c r="H25" s="35" t="s">
        <v>80</v>
      </c>
      <c r="I25" s="35" t="s">
        <v>81</v>
      </c>
      <c r="J25" s="119" t="s">
        <v>95</v>
      </c>
      <c r="P25" s="61"/>
      <c r="Q25" s="59"/>
      <c r="R25" s="62"/>
      <c r="S25" s="62"/>
      <c r="T25" s="63"/>
    </row>
    <row r="26" spans="2:20">
      <c r="P26" s="58"/>
      <c r="Q26" s="59"/>
      <c r="R26" s="59"/>
      <c r="S26" s="59"/>
      <c r="T26" s="60"/>
    </row>
    <row r="27" spans="2:20">
      <c r="P27" s="58"/>
      <c r="Q27" s="59"/>
      <c r="R27" s="59"/>
      <c r="S27" s="59"/>
      <c r="T27" s="60"/>
    </row>
    <row r="28" spans="2:20">
      <c r="D28" s="148"/>
      <c r="E28" s="148"/>
      <c r="F28" s="66"/>
      <c r="G28" s="148"/>
      <c r="H28" s="147"/>
      <c r="O28" s="47"/>
    </row>
    <row r="29" spans="2:20">
      <c r="I29" s="149"/>
    </row>
    <row r="31" spans="2:20">
      <c r="E31" s="47"/>
    </row>
    <row r="32" spans="2:20">
      <c r="J32" s="144"/>
      <c r="L32" s="118" t="s">
        <v>100</v>
      </c>
      <c r="M32" s="59"/>
      <c r="N32" s="59"/>
      <c r="O32" s="60"/>
    </row>
    <row r="33" spans="10:16">
      <c r="J33" s="144"/>
    </row>
    <row r="34" spans="10:16" ht="39.6">
      <c r="L34" s="154" t="s">
        <v>102</v>
      </c>
      <c r="M34" s="154" t="s">
        <v>101</v>
      </c>
      <c r="N34" s="154" t="s">
        <v>103</v>
      </c>
      <c r="O34" s="154" t="s">
        <v>104</v>
      </c>
      <c r="P34" s="154" t="s">
        <v>105</v>
      </c>
    </row>
    <row r="35" spans="10:16">
      <c r="L35" s="150">
        <f>AVERAGE(G4:G18)</f>
        <v>250.66666666666666</v>
      </c>
      <c r="M35" s="151">
        <f>AVERAGE(E4:E18)</f>
        <v>3.06</v>
      </c>
      <c r="N35" s="152">
        <f>M35*P7</f>
        <v>1135260</v>
      </c>
      <c r="O35" s="153">
        <f>(L35*N35)*L10</f>
        <v>9149.1838562879984</v>
      </c>
      <c r="P35" s="152">
        <f>T7-O35</f>
        <v>1072.8269241339858</v>
      </c>
    </row>
  </sheetData>
  <mergeCells count="1">
    <mergeCell ref="B22:I22"/>
  </mergeCell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I21" sqref="I21"/>
    </sheetView>
  </sheetViews>
  <sheetFormatPr defaultColWidth="12.59765625" defaultRowHeight="15" customHeight="1"/>
  <cols>
    <col min="1" max="1" width="2" style="52" customWidth="1"/>
    <col min="3" max="3" width="18" customWidth="1"/>
    <col min="4" max="4" width="16.8984375" customWidth="1"/>
    <col min="6" max="6" width="14.5" customWidth="1"/>
    <col min="7" max="7" width="3.09765625" customWidth="1"/>
    <col min="9" max="9" width="18.3984375" customWidth="1"/>
    <col min="10" max="10" width="3.5" customWidth="1"/>
    <col min="11" max="11" width="14.09765625" customWidth="1"/>
    <col min="12" max="12" width="10.19921875" customWidth="1"/>
  </cols>
  <sheetData>
    <row r="1" spans="2:24" ht="15" customHeight="1">
      <c r="B1" s="1" t="s">
        <v>97</v>
      </c>
      <c r="K1" s="1" t="s">
        <v>6</v>
      </c>
    </row>
    <row r="2" spans="2:24" ht="15" customHeight="1">
      <c r="K2" s="1"/>
    </row>
    <row r="3" spans="2:24" ht="15" customHeight="1">
      <c r="B3" s="2" t="s">
        <v>7</v>
      </c>
      <c r="E3" s="3" t="s">
        <v>8</v>
      </c>
      <c r="F3" s="4"/>
      <c r="H3" s="3" t="s">
        <v>9</v>
      </c>
      <c r="I3" s="4"/>
      <c r="K3" s="5" t="s">
        <v>10</v>
      </c>
      <c r="L3" s="6">
        <v>2</v>
      </c>
      <c r="M3" s="6" t="s">
        <v>11</v>
      </c>
      <c r="N3" s="7"/>
    </row>
    <row r="4" spans="2:24" ht="15" customHeight="1">
      <c r="B4" s="131">
        <f>'Resource estimate'!Q7</f>
        <v>1139426.6666666667</v>
      </c>
      <c r="C4" s="8" t="s">
        <v>12</v>
      </c>
      <c r="E4" s="9" t="s">
        <v>13</v>
      </c>
      <c r="F4" s="10">
        <f>B18</f>
        <v>723443.34661057708</v>
      </c>
      <c r="H4" s="11" t="s">
        <v>10</v>
      </c>
      <c r="I4" s="10">
        <f>L7</f>
        <v>100800</v>
      </c>
      <c r="K4" s="12"/>
      <c r="L4" s="13">
        <v>30</v>
      </c>
      <c r="M4" s="8" t="s">
        <v>14</v>
      </c>
      <c r="N4" s="14"/>
    </row>
    <row r="5" spans="2:24" ht="15" customHeight="1">
      <c r="E5" s="9" t="s">
        <v>15</v>
      </c>
      <c r="F5" s="10">
        <f>K35+K25+P22+L13+L7</f>
        <v>367278.76812716346</v>
      </c>
      <c r="H5" s="11" t="s">
        <v>16</v>
      </c>
      <c r="I5" s="10">
        <f>L13</f>
        <v>84000</v>
      </c>
      <c r="K5" s="12"/>
      <c r="L5" s="8">
        <v>40</v>
      </c>
      <c r="M5" s="8" t="s">
        <v>17</v>
      </c>
      <c r="N5" s="14"/>
    </row>
    <row r="6" spans="2:24" ht="15" customHeight="1">
      <c r="E6" s="9" t="s">
        <v>18</v>
      </c>
      <c r="F6" s="15">
        <f>F4-F5</f>
        <v>356164.57848341361</v>
      </c>
      <c r="H6" s="11" t="s">
        <v>19</v>
      </c>
      <c r="I6" s="16">
        <f>P22</f>
        <v>72000</v>
      </c>
      <c r="K6" s="12"/>
      <c r="L6" s="8">
        <v>42</v>
      </c>
      <c r="M6" s="8" t="s">
        <v>20</v>
      </c>
      <c r="N6" s="14"/>
    </row>
    <row r="7" spans="2:24" ht="15" customHeight="1">
      <c r="B7" s="55" t="s">
        <v>92</v>
      </c>
      <c r="H7" s="11" t="s">
        <v>22</v>
      </c>
      <c r="I7" s="16">
        <f>K25</f>
        <v>23400</v>
      </c>
      <c r="K7" s="17"/>
      <c r="L7" s="18">
        <f>L4*L5*L6*L3</f>
        <v>100800</v>
      </c>
      <c r="M7" s="19" t="s">
        <v>23</v>
      </c>
      <c r="N7" s="20"/>
    </row>
    <row r="8" spans="2:24" ht="15" customHeight="1">
      <c r="B8" s="130">
        <f>'Resource estimate'!M7</f>
        <v>279.03554039866117</v>
      </c>
      <c r="C8" s="8" t="s">
        <v>21</v>
      </c>
      <c r="D8" s="81"/>
      <c r="E8" s="56"/>
      <c r="F8" s="56"/>
      <c r="H8" s="11" t="s">
        <v>24</v>
      </c>
      <c r="I8" s="10">
        <f>K35</f>
        <v>87078.768127163479</v>
      </c>
    </row>
    <row r="9" spans="2:24" ht="15" customHeight="1">
      <c r="H9" s="9"/>
      <c r="I9" s="145">
        <f>SUM(I4:I8)</f>
        <v>367278.76812716346</v>
      </c>
      <c r="L9" s="8"/>
    </row>
    <row r="10" spans="2:24" ht="15" customHeight="1">
      <c r="B10" s="2" t="s">
        <v>25</v>
      </c>
      <c r="K10" s="5" t="s">
        <v>26</v>
      </c>
      <c r="L10" s="21"/>
      <c r="M10" s="21"/>
      <c r="N10" s="21"/>
      <c r="O10" s="22"/>
    </row>
    <row r="11" spans="2:24" ht="15" customHeight="1">
      <c r="B11" s="132" t="s">
        <v>27</v>
      </c>
      <c r="C11" s="133" t="s">
        <v>28</v>
      </c>
      <c r="D11" s="134"/>
      <c r="E11" s="134"/>
      <c r="F11" s="135"/>
      <c r="H11" s="3" t="s">
        <v>29</v>
      </c>
      <c r="I11" s="4"/>
      <c r="K11" s="23"/>
      <c r="L11">
        <f>L5</f>
        <v>40</v>
      </c>
      <c r="M11" s="8" t="s">
        <v>17</v>
      </c>
      <c r="O11" s="14"/>
      <c r="P11" s="8"/>
    </row>
    <row r="12" spans="2:24" ht="13.8">
      <c r="B12" s="136">
        <v>240</v>
      </c>
      <c r="C12" s="65" t="s">
        <v>12</v>
      </c>
      <c r="D12" s="65" t="s">
        <v>30</v>
      </c>
      <c r="E12" s="66"/>
      <c r="F12" s="137"/>
      <c r="H12" s="24">
        <f>(B4/B16)+1</f>
        <v>23.607671957671958</v>
      </c>
      <c r="I12" s="25" t="s">
        <v>31</v>
      </c>
      <c r="K12" s="12"/>
      <c r="L12" s="13">
        <v>50</v>
      </c>
      <c r="M12" s="8" t="s">
        <v>32</v>
      </c>
      <c r="O12" s="14"/>
    </row>
    <row r="13" spans="2:24" ht="15" customHeight="1">
      <c r="B13" s="138">
        <f>B12*5</f>
        <v>1200</v>
      </c>
      <c r="C13" s="65" t="s">
        <v>12</v>
      </c>
      <c r="D13" s="65" t="s">
        <v>37</v>
      </c>
      <c r="E13" s="66"/>
      <c r="F13" s="137"/>
      <c r="H13" s="27" t="s">
        <v>38</v>
      </c>
      <c r="I13" s="20"/>
      <c r="K13" s="12"/>
      <c r="L13" s="28">
        <f>L12*L11*42</f>
        <v>84000</v>
      </c>
      <c r="M13" s="8" t="s">
        <v>42</v>
      </c>
      <c r="O13" s="14"/>
      <c r="V13" s="8"/>
      <c r="W13" s="8"/>
      <c r="X13" s="8"/>
    </row>
    <row r="14" spans="2:24" ht="13.8">
      <c r="B14" s="136">
        <v>42</v>
      </c>
      <c r="C14" s="65" t="s">
        <v>43</v>
      </c>
      <c r="D14" s="65" t="s">
        <v>44</v>
      </c>
      <c r="E14" s="66"/>
      <c r="F14" s="137"/>
      <c r="K14" s="27" t="s">
        <v>45</v>
      </c>
      <c r="L14" s="29"/>
      <c r="M14" s="29"/>
      <c r="N14" s="29"/>
      <c r="O14" s="20"/>
      <c r="V14" s="8"/>
    </row>
    <row r="15" spans="2:24" ht="15" customHeight="1">
      <c r="B15" s="139">
        <v>750</v>
      </c>
      <c r="C15" s="65" t="s">
        <v>12</v>
      </c>
      <c r="D15" s="65" t="s">
        <v>82</v>
      </c>
      <c r="E15" s="66"/>
      <c r="F15" s="137"/>
      <c r="V15" s="8"/>
    </row>
    <row r="16" spans="2:24" ht="13.8">
      <c r="B16" s="138">
        <f>B13*B14</f>
        <v>50400</v>
      </c>
      <c r="C16" s="65" t="s">
        <v>12</v>
      </c>
      <c r="D16" s="65" t="s">
        <v>46</v>
      </c>
      <c r="E16" s="66"/>
      <c r="F16" s="137"/>
      <c r="V16" s="8"/>
    </row>
    <row r="17" spans="2:22" ht="15" customHeight="1">
      <c r="B17" s="140">
        <f>(B8*B16)*B22</f>
        <v>452.15209163161069</v>
      </c>
      <c r="C17" s="65" t="s">
        <v>48</v>
      </c>
      <c r="D17" s="65" t="s">
        <v>49</v>
      </c>
      <c r="E17" s="66"/>
      <c r="F17" s="137"/>
      <c r="K17" s="5" t="s">
        <v>53</v>
      </c>
      <c r="L17" s="21"/>
      <c r="M17" s="6" t="s">
        <v>54</v>
      </c>
      <c r="N17" s="6" t="s">
        <v>55</v>
      </c>
      <c r="O17" s="6" t="s">
        <v>56</v>
      </c>
      <c r="P17" s="6" t="s">
        <v>57</v>
      </c>
      <c r="Q17" s="7"/>
      <c r="V17" s="8"/>
    </row>
    <row r="18" spans="2:22" ht="13.8">
      <c r="B18" s="74">
        <f>B23*B17</f>
        <v>723443.34661057708</v>
      </c>
      <c r="C18" s="78" t="s">
        <v>50</v>
      </c>
      <c r="D18" s="78" t="s">
        <v>52</v>
      </c>
      <c r="E18" s="75"/>
      <c r="F18" s="141"/>
      <c r="K18" s="12"/>
      <c r="L18" s="8" t="s">
        <v>59</v>
      </c>
      <c r="M18" s="8">
        <v>10</v>
      </c>
      <c r="N18">
        <f t="shared" ref="N18:N21" si="0">M18*40</f>
        <v>400</v>
      </c>
      <c r="O18" s="36">
        <f t="shared" ref="O18:O21" si="1">N18*$B$24</f>
        <v>500</v>
      </c>
      <c r="P18" s="43">
        <f t="shared" ref="P18:P21" si="2">O18*48</f>
        <v>24000</v>
      </c>
      <c r="Q18" s="14"/>
    </row>
    <row r="19" spans="2:22" ht="15" customHeight="1">
      <c r="B19" s="34" t="s">
        <v>58</v>
      </c>
      <c r="K19" s="12"/>
      <c r="L19" s="8" t="s">
        <v>61</v>
      </c>
      <c r="M19" s="8">
        <v>15</v>
      </c>
      <c r="N19">
        <f t="shared" si="0"/>
        <v>600</v>
      </c>
      <c r="O19" s="36">
        <f t="shared" si="1"/>
        <v>750</v>
      </c>
      <c r="P19" s="43">
        <f t="shared" si="2"/>
        <v>36000</v>
      </c>
      <c r="Q19" s="14"/>
    </row>
    <row r="20" spans="2:22" ht="15" customHeight="1">
      <c r="B20" s="2"/>
      <c r="K20" s="12"/>
      <c r="L20" s="8" t="s">
        <v>63</v>
      </c>
      <c r="M20" s="8">
        <v>2</v>
      </c>
      <c r="N20">
        <f t="shared" si="0"/>
        <v>80</v>
      </c>
      <c r="O20" s="36">
        <f t="shared" si="1"/>
        <v>100</v>
      </c>
      <c r="P20" s="43">
        <f t="shared" si="2"/>
        <v>4800</v>
      </c>
      <c r="Q20" s="14"/>
    </row>
    <row r="21" spans="2:22" ht="13.8">
      <c r="B21" s="30" t="s">
        <v>62</v>
      </c>
      <c r="C21" s="31"/>
      <c r="K21" s="12"/>
      <c r="L21" s="19" t="s">
        <v>66</v>
      </c>
      <c r="M21" s="19">
        <v>3</v>
      </c>
      <c r="N21" s="29">
        <f t="shared" si="0"/>
        <v>120</v>
      </c>
      <c r="O21" s="39">
        <f t="shared" si="1"/>
        <v>150</v>
      </c>
      <c r="P21" s="142">
        <f t="shared" si="2"/>
        <v>7200</v>
      </c>
      <c r="Q21" s="14"/>
    </row>
    <row r="22" spans="2:22" ht="15" customHeight="1">
      <c r="B22" s="37">
        <v>3.2150999999999998E-5</v>
      </c>
      <c r="C22" s="38" t="s">
        <v>65</v>
      </c>
      <c r="K22" s="17"/>
      <c r="L22" s="40" t="s">
        <v>68</v>
      </c>
      <c r="M22" s="41"/>
      <c r="N22" s="41"/>
      <c r="O22" s="41"/>
      <c r="P22" s="143">
        <f>SUM(P18:P21)</f>
        <v>72000</v>
      </c>
      <c r="Q22" s="20"/>
    </row>
    <row r="23" spans="2:22" ht="13.8">
      <c r="B23" s="146">
        <v>1600</v>
      </c>
      <c r="C23" s="25" t="s">
        <v>67</v>
      </c>
      <c r="E23" s="82"/>
    </row>
    <row r="24" spans="2:22" ht="15" customHeight="1">
      <c r="B24" s="42">
        <v>1.25</v>
      </c>
      <c r="C24" s="32" t="s">
        <v>70</v>
      </c>
      <c r="K24" s="5" t="s">
        <v>71</v>
      </c>
      <c r="L24" s="21"/>
      <c r="M24" s="21"/>
      <c r="N24" s="7"/>
    </row>
    <row r="25" spans="2:22" ht="15" customHeight="1">
      <c r="K25" s="33">
        <f>(P22+L13)*0.15</f>
        <v>23400</v>
      </c>
      <c r="L25" s="19" t="s">
        <v>72</v>
      </c>
      <c r="M25" s="29"/>
      <c r="N25" s="20"/>
    </row>
    <row r="26" spans="2:22" ht="15" customHeight="1">
      <c r="F26" s="8"/>
    </row>
    <row r="27" spans="2:22" ht="15" customHeight="1">
      <c r="B27" s="84" t="s">
        <v>47</v>
      </c>
      <c r="C27" s="85"/>
      <c r="K27" s="67" t="s">
        <v>73</v>
      </c>
      <c r="L27" s="68"/>
      <c r="M27" s="68"/>
      <c r="N27" s="68"/>
      <c r="O27" s="68"/>
      <c r="P27" s="69"/>
    </row>
    <row r="28" spans="2:22" ht="13.8">
      <c r="B28" s="77">
        <v>715</v>
      </c>
      <c r="C28" s="86" t="s">
        <v>50</v>
      </c>
      <c r="K28" s="70">
        <v>1000</v>
      </c>
      <c r="L28" s="65" t="s">
        <v>74</v>
      </c>
      <c r="M28" s="66"/>
      <c r="N28" s="66"/>
      <c r="O28" s="64"/>
      <c r="P28" s="71"/>
    </row>
    <row r="29" spans="2:22" ht="13.8">
      <c r="K29" s="97">
        <f>B18*0.01</f>
        <v>7234.433466105771</v>
      </c>
      <c r="L29" s="72" t="s">
        <v>91</v>
      </c>
      <c r="M29" s="66"/>
      <c r="N29" s="66"/>
      <c r="O29" s="64"/>
      <c r="P29" s="71"/>
    </row>
    <row r="30" spans="2:22" ht="13.8">
      <c r="D30" s="48"/>
      <c r="K30" s="70">
        <v>1500</v>
      </c>
      <c r="L30" s="65" t="s">
        <v>75</v>
      </c>
      <c r="M30" s="66"/>
      <c r="N30" s="66"/>
      <c r="O30" s="64"/>
      <c r="P30" s="71"/>
    </row>
    <row r="31" spans="2:22" ht="13.8">
      <c r="C31" s="48"/>
      <c r="D31" s="80"/>
      <c r="K31" s="70">
        <v>1500</v>
      </c>
      <c r="L31" s="65" t="s">
        <v>76</v>
      </c>
      <c r="M31" s="66"/>
      <c r="N31" s="66"/>
      <c r="O31" s="64"/>
      <c r="P31" s="71"/>
    </row>
    <row r="32" spans="2:22" ht="13.8">
      <c r="C32" s="54"/>
      <c r="K32" s="73">
        <f>B18*0.1</f>
        <v>72344.334661057714</v>
      </c>
      <c r="L32" s="65" t="s">
        <v>77</v>
      </c>
      <c r="M32" s="66"/>
      <c r="N32" s="66"/>
      <c r="O32" s="64"/>
      <c r="P32" s="71"/>
    </row>
    <row r="33" spans="2:16" ht="13.8">
      <c r="E33" s="82"/>
      <c r="K33" s="70">
        <v>1500</v>
      </c>
      <c r="L33" s="65" t="s">
        <v>78</v>
      </c>
      <c r="M33" s="66"/>
      <c r="N33" s="66"/>
      <c r="O33" s="64"/>
      <c r="P33" s="71"/>
    </row>
    <row r="34" spans="2:16" ht="15" customHeight="1">
      <c r="K34" s="77">
        <v>2000</v>
      </c>
      <c r="L34" s="78" t="s">
        <v>79</v>
      </c>
      <c r="M34" s="79"/>
      <c r="N34" s="79"/>
      <c r="O34" s="79"/>
      <c r="P34" s="76"/>
    </row>
    <row r="35" spans="2:16" ht="15" customHeight="1">
      <c r="K35" s="74">
        <f>SUM(K28:K34)</f>
        <v>87078.768127163479</v>
      </c>
      <c r="L35" s="75"/>
      <c r="M35" s="75"/>
      <c r="N35" s="75"/>
      <c r="O35" s="75"/>
      <c r="P35" s="76"/>
    </row>
    <row r="36" spans="2:16" ht="15" customHeight="1">
      <c r="B36" s="4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38B1F4-48B8-49E5-851B-3BDBF7DA9A96}"/>
</file>

<file path=customXml/itemProps2.xml><?xml version="1.0" encoding="utf-8"?>
<ds:datastoreItem xmlns:ds="http://schemas.openxmlformats.org/officeDocument/2006/customXml" ds:itemID="{557230F7-AFFC-4946-83A0-B76100CB70E7}"/>
</file>

<file path=customXml/itemProps3.xml><?xml version="1.0" encoding="utf-8"?>
<ds:datastoreItem xmlns:ds="http://schemas.openxmlformats.org/officeDocument/2006/customXml" ds:itemID="{55EE0D1C-1CDF-4377-8342-8BDD818EB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 estimate</vt:lpstr>
      <vt:lpstr>Project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Aidan Allan</dc:creator>
  <cp:lastModifiedBy>Zoe Stinson</cp:lastModifiedBy>
  <cp:lastPrinted>2018-02-02T02:32:23Z</cp:lastPrinted>
  <dcterms:created xsi:type="dcterms:W3CDTF">2017-07-12T22:35:17Z</dcterms:created>
  <dcterms:modified xsi:type="dcterms:W3CDTF">2018-02-02T02:34:12Z</dcterms:modified>
</cp:coreProperties>
</file>